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80" activeTab="0"/>
  </bookViews>
  <sheets>
    <sheet name="FAC Formula FY05-06" sheetId="1" r:id="rId1"/>
    <sheet name="2yr Comp." sheetId="2" r:id="rId2"/>
  </sheets>
  <definedNames>
    <definedName name="_xlnm.Print_Area" localSheetId="0">'FAC Formula FY05-06'!$A$1:$N$24</definedName>
  </definedNames>
  <calcPr fullCalcOnLoad="1"/>
</workbook>
</file>

<file path=xl/sharedStrings.xml><?xml version="1.0" encoding="utf-8"?>
<sst xmlns="http://schemas.openxmlformats.org/spreadsheetml/2006/main" count="83" uniqueCount="49">
  <si>
    <t>College</t>
  </si>
  <si>
    <t>AVG FTSE (1) FY 01 &amp; FY 02</t>
  </si>
  <si>
    <t>FTSE Increase divided by 30</t>
  </si>
  <si>
    <t xml:space="preserve">Prorated based on Available FTE </t>
  </si>
  <si>
    <t>Actual Dist. Allocation</t>
  </si>
  <si>
    <t>Total FTE Change</t>
  </si>
  <si>
    <t>PC</t>
  </si>
  <si>
    <t>GCC</t>
  </si>
  <si>
    <t>GWC</t>
  </si>
  <si>
    <t>MCC</t>
  </si>
  <si>
    <t>SCC</t>
  </si>
  <si>
    <t>SMCC</t>
  </si>
  <si>
    <t>CGCC</t>
  </si>
  <si>
    <t>PVCC</t>
  </si>
  <si>
    <t>EMCC</t>
  </si>
  <si>
    <t>TOTAL</t>
  </si>
  <si>
    <t>RSC</t>
  </si>
  <si>
    <t>(1) Average FTSE  does not include ABE/GED/ESL or Dual Enrollment</t>
  </si>
  <si>
    <t>**Maximum 3 per college, per year.</t>
  </si>
  <si>
    <t>***Rio Salado to receive funding equivalent to FTE(2 FTE maximum). RSC is calculated first and the remaining FTE is then allocated to the other colleges</t>
  </si>
  <si>
    <t>FTSE Inc</t>
  </si>
  <si>
    <t xml:space="preserve">FTE Budget Allocations (New Faculty Positions) Phases 1 and 2  </t>
  </si>
  <si>
    <t>FY05-06</t>
  </si>
  <si>
    <t>AVG FTSE (1) FY 03 &amp; FY 04</t>
  </si>
  <si>
    <t xml:space="preserve">Phase 1                                             </t>
  </si>
  <si>
    <t>Fiscal Year 2005-06</t>
  </si>
  <si>
    <t>Total</t>
  </si>
  <si>
    <t>FY01</t>
  </si>
  <si>
    <t>FY02</t>
  </si>
  <si>
    <t>ABE/GED</t>
  </si>
  <si>
    <t>Dual Enrollment</t>
  </si>
  <si>
    <t>FY01/02 Average</t>
  </si>
  <si>
    <t>FY03</t>
  </si>
  <si>
    <t>FY04</t>
  </si>
  <si>
    <t>FY03/04 Average</t>
  </si>
  <si>
    <t>FY01-02 Difference</t>
  </si>
  <si>
    <t>FY03-04 Difference</t>
  </si>
  <si>
    <t>Percentage FTSE Increase/ Decrease</t>
  </si>
  <si>
    <t>FY 03 &amp; FY 04</t>
  </si>
  <si>
    <t>FY 01 &amp; FY02</t>
  </si>
  <si>
    <t>Faculty Positions Per Faculty Formula*</t>
  </si>
  <si>
    <r>
      <t xml:space="preserve">* 1 faculty per 30 FTSE increase. </t>
    </r>
    <r>
      <rPr>
        <u val="single"/>
        <sz val="9"/>
        <rFont val="Bookman Old Style"/>
        <family val="1"/>
      </rPr>
      <t>No funding for partial units (ie 1.75 would equal 1 faculty unit (FTE))</t>
    </r>
  </si>
  <si>
    <t>Per Faculty Formula Phase 1 &amp; 2</t>
  </si>
  <si>
    <t xml:space="preserve">Phase 2- Match </t>
  </si>
  <si>
    <t>Phase 1 Recommended Allocation****</t>
  </si>
  <si>
    <t>** FY05-06 Phase 2 Recommended Match</t>
  </si>
  <si>
    <t>FY05-6 Total Recommendation</t>
  </si>
  <si>
    <t>**** Because truncating as called for by the formula does not allow for Phase 1 to allocate to full number of positions the district would like to fund(25 at a minimum in this phase 1), we are adjusting for rounding differences</t>
  </si>
  <si>
    <t>College Reallocated FTE FY 05 as of FY04-05 Adopted Budget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</si>
</sst>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0%;\(0%\)"/>
    <numFmt numFmtId="171" formatCode="\ \ @"/>
    <numFmt numFmtId="172" formatCode="\ \ \ \ @"/>
    <numFmt numFmtId="173" formatCode="0.0"/>
    <numFmt numFmtId="174" formatCode="0.000"/>
    <numFmt numFmtId="175" formatCode="0.0%"/>
  </numFmts>
  <fonts count="17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0"/>
      <color indexed="14"/>
      <name val="Arial"/>
      <family val="2"/>
    </font>
    <font>
      <sz val="10"/>
      <name val="Geneva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9"/>
      <name val="Bookman Old Style"/>
      <family val="1"/>
    </font>
    <font>
      <sz val="9"/>
      <name val="Arial"/>
      <family val="0"/>
    </font>
    <font>
      <sz val="9"/>
      <name val="Bookman Old Style"/>
      <family val="1"/>
    </font>
    <font>
      <b/>
      <sz val="9"/>
      <name val="Arial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9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6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ill="0" applyBorder="0" applyAlignment="0">
      <protection/>
    </xf>
    <xf numFmtId="165" fontId="1" fillId="0" borderId="0" applyFill="0" applyBorder="0" applyAlignment="0">
      <protection/>
    </xf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8" fontId="1" fillId="0" borderId="0" applyFill="0" applyBorder="0" applyAlignment="0">
      <protection/>
    </xf>
    <xf numFmtId="164" fontId="1" fillId="0" borderId="0" applyFill="0" applyBorder="0" applyAlignment="0">
      <protection/>
    </xf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1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37" fontId="7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8" fillId="0" borderId="0" applyFill="0" applyBorder="0" applyAlignment="0">
      <protection/>
    </xf>
    <xf numFmtId="165" fontId="8" fillId="0" borderId="0" applyFill="0" applyBorder="0" applyAlignment="0">
      <protection/>
    </xf>
    <xf numFmtId="164" fontId="8" fillId="0" borderId="0" applyFill="0" applyBorder="0" applyAlignment="0">
      <protection/>
    </xf>
    <xf numFmtId="169" fontId="8" fillId="0" borderId="0" applyFill="0" applyBorder="0" applyAlignment="0">
      <protection/>
    </xf>
    <xf numFmtId="165" fontId="8" fillId="0" borderId="0" applyFill="0" applyBorder="0" applyAlignment="0">
      <protection/>
    </xf>
    <xf numFmtId="49" fontId="1" fillId="0" borderId="0" applyFill="0" applyBorder="0" applyAlignment="0">
      <protection/>
    </xf>
    <xf numFmtId="171" fontId="1" fillId="0" borderId="0" applyFill="0" applyBorder="0" applyAlignment="0">
      <protection/>
    </xf>
    <xf numFmtId="172" fontId="1" fillId="0" borderId="0" applyFill="0" applyBorder="0" applyAlignment="0">
      <protection/>
    </xf>
  </cellStyleXfs>
  <cellXfs count="117">
    <xf numFmtId="0" fontId="0" fillId="0" borderId="0" xfId="0" applyAlignment="1">
      <alignment/>
    </xf>
    <xf numFmtId="37" fontId="12" fillId="2" borderId="0" xfId="44" applyFont="1" applyFill="1">
      <alignment/>
      <protection/>
    </xf>
    <xf numFmtId="0" fontId="11" fillId="2" borderId="0" xfId="0" applyFont="1" applyFill="1" applyAlignment="1">
      <alignment/>
    </xf>
    <xf numFmtId="0" fontId="13" fillId="2" borderId="3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37" fontId="12" fillId="2" borderId="5" xfId="44" applyFont="1" applyFill="1" applyBorder="1">
      <alignment/>
      <protection/>
    </xf>
    <xf numFmtId="0" fontId="11" fillId="2" borderId="6" xfId="0" applyFont="1" applyFill="1" applyBorder="1" applyAlignment="1">
      <alignment horizontal="centerContinuous" wrapText="1"/>
    </xf>
    <xf numFmtId="0" fontId="13" fillId="2" borderId="7" xfId="0" applyFont="1" applyFill="1" applyBorder="1" applyAlignment="1">
      <alignment horizontal="centerContinuous" wrapText="1"/>
    </xf>
    <xf numFmtId="0" fontId="11" fillId="2" borderId="7" xfId="0" applyFont="1" applyFill="1" applyBorder="1" applyAlignment="1">
      <alignment horizontal="centerContinuous" wrapText="1"/>
    </xf>
    <xf numFmtId="0" fontId="11" fillId="2" borderId="8" xfId="0" applyFont="1" applyFill="1" applyBorder="1" applyAlignment="1">
      <alignment horizontal="centerContinuous" wrapText="1"/>
    </xf>
    <xf numFmtId="0" fontId="11" fillId="2" borderId="2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37" fontId="12" fillId="2" borderId="9" xfId="44" applyFont="1" applyFill="1" applyBorder="1" applyAlignment="1">
      <alignment horizontal="centerContinuous"/>
      <protection/>
    </xf>
    <xf numFmtId="0" fontId="11" fillId="2" borderId="10" xfId="0" applyFont="1" applyFill="1" applyBorder="1" applyAlignment="1">
      <alignment horizontal="centerContinuous" wrapText="1"/>
    </xf>
    <xf numFmtId="0" fontId="11" fillId="2" borderId="11" xfId="0" applyFont="1" applyFill="1" applyBorder="1" applyAlignment="1">
      <alignment horizontal="centerContinuous" wrapText="1"/>
    </xf>
    <xf numFmtId="0" fontId="11" fillId="2" borderId="1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wrapText="1"/>
    </xf>
    <xf numFmtId="0" fontId="11" fillId="2" borderId="13" xfId="0" applyFont="1" applyFill="1" applyBorder="1" applyAlignment="1">
      <alignment horizontal="centerContinuous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7" fontId="12" fillId="2" borderId="14" xfId="44" applyNumberFormat="1" applyFont="1" applyFill="1" applyBorder="1" applyAlignment="1" applyProtection="1">
      <alignment horizontal="left"/>
      <protection/>
    </xf>
    <xf numFmtId="37" fontId="11" fillId="2" borderId="15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37" fontId="12" fillId="2" borderId="9" xfId="44" applyNumberFormat="1" applyFont="1" applyFill="1" applyBorder="1" applyAlignment="1" applyProtection="1">
      <alignment horizontal="left"/>
      <protection/>
    </xf>
    <xf numFmtId="37" fontId="11" fillId="2" borderId="11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37" fontId="12" fillId="2" borderId="17" xfId="44" applyNumberFormat="1" applyFont="1" applyFill="1" applyBorder="1" applyAlignment="1" applyProtection="1">
      <alignment horizontal="left"/>
      <protection/>
    </xf>
    <xf numFmtId="37" fontId="11" fillId="2" borderId="18" xfId="0" applyNumberFormat="1" applyFont="1" applyFill="1" applyBorder="1" applyAlignment="1">
      <alignment/>
    </xf>
    <xf numFmtId="37" fontId="11" fillId="2" borderId="19" xfId="0" applyNumberFormat="1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37" fontId="11" fillId="2" borderId="21" xfId="0" applyNumberFormat="1" applyFont="1" applyFill="1" applyBorder="1" applyAlignment="1">
      <alignment/>
    </xf>
    <xf numFmtId="37" fontId="11" fillId="2" borderId="22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37" fontId="12" fillId="2" borderId="0" xfId="44" applyNumberFormat="1" applyFont="1" applyFill="1" applyBorder="1" applyAlignment="1" applyProtection="1">
      <alignment horizontal="left"/>
      <protection/>
    </xf>
    <xf numFmtId="37" fontId="12" fillId="2" borderId="0" xfId="44" applyNumberFormat="1" applyFont="1" applyFill="1" applyAlignment="1" applyProtection="1">
      <alignment horizontal="left"/>
      <protection/>
    </xf>
    <xf numFmtId="1" fontId="11" fillId="2" borderId="0" xfId="0" applyNumberFormat="1" applyFont="1" applyFill="1" applyAlignment="1">
      <alignment/>
    </xf>
    <xf numFmtId="37" fontId="14" fillId="0" borderId="0" xfId="44" applyFont="1">
      <alignment/>
      <protection/>
    </xf>
    <xf numFmtId="37" fontId="15" fillId="0" borderId="0" xfId="44" applyFont="1">
      <alignment/>
      <protection/>
    </xf>
    <xf numFmtId="37" fontId="11" fillId="2" borderId="14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5" fontId="11" fillId="2" borderId="0" xfId="45" applyNumberFormat="1" applyFont="1" applyFill="1" applyBorder="1" applyAlignment="1">
      <alignment/>
    </xf>
    <xf numFmtId="175" fontId="11" fillId="2" borderId="19" xfId="45" applyNumberFormat="1" applyFont="1" applyFill="1" applyBorder="1" applyAlignment="1">
      <alignment/>
    </xf>
    <xf numFmtId="175" fontId="11" fillId="2" borderId="22" xfId="45" applyNumberFormat="1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1" fillId="2" borderId="19" xfId="0" applyNumberFormat="1" applyFont="1" applyFill="1" applyBorder="1" applyAlignment="1">
      <alignment/>
    </xf>
    <xf numFmtId="1" fontId="11" fillId="2" borderId="22" xfId="0" applyNumberFormat="1" applyFont="1" applyFill="1" applyBorder="1" applyAlignment="1">
      <alignment/>
    </xf>
    <xf numFmtId="1" fontId="11" fillId="2" borderId="4" xfId="0" applyNumberFormat="1" applyFont="1" applyFill="1" applyBorder="1" applyAlignment="1">
      <alignment horizontal="centerContinuous"/>
    </xf>
    <xf numFmtId="1" fontId="11" fillId="2" borderId="23" xfId="0" applyNumberFormat="1" applyFont="1" applyFill="1" applyBorder="1" applyAlignment="1">
      <alignment horizontal="centerContinuous" wrapText="1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" fontId="11" fillId="3" borderId="28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24" xfId="0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2" xfId="0" applyNumberFormat="1" applyFill="1" applyBorder="1" applyAlignment="1">
      <alignment/>
    </xf>
    <xf numFmtId="1" fontId="0" fillId="4" borderId="24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1" fillId="2" borderId="19" xfId="0" applyNumberFormat="1" applyFont="1" applyFill="1" applyBorder="1" applyAlignment="1">
      <alignment/>
    </xf>
    <xf numFmtId="2" fontId="11" fillId="2" borderId="22" xfId="0" applyNumberFormat="1" applyFont="1" applyFill="1" applyBorder="1" applyAlignment="1">
      <alignment/>
    </xf>
    <xf numFmtId="1" fontId="11" fillId="3" borderId="29" xfId="0" applyNumberFormat="1" applyFont="1" applyFill="1" applyBorder="1" applyAlignment="1">
      <alignment horizontal="center" vertical="center" wrapText="1"/>
    </xf>
    <xf numFmtId="1" fontId="11" fillId="3" borderId="30" xfId="0" applyNumberFormat="1" applyFont="1" applyFill="1" applyBorder="1" applyAlignment="1">
      <alignment/>
    </xf>
    <xf numFmtId="1" fontId="11" fillId="3" borderId="31" xfId="0" applyNumberFormat="1" applyFont="1" applyFill="1" applyBorder="1" applyAlignment="1">
      <alignment/>
    </xf>
    <xf numFmtId="0" fontId="11" fillId="2" borderId="32" xfId="0" applyFont="1" applyFill="1" applyBorder="1" applyAlignment="1">
      <alignment horizontal="centerContinuous"/>
    </xf>
    <xf numFmtId="0" fontId="11" fillId="3" borderId="28" xfId="0" applyFont="1" applyFill="1" applyBorder="1" applyAlignment="1">
      <alignment/>
    </xf>
    <xf numFmtId="0" fontId="11" fillId="3" borderId="31" xfId="0" applyFont="1" applyFill="1" applyBorder="1" applyAlignment="1">
      <alignment/>
    </xf>
    <xf numFmtId="0" fontId="11" fillId="3" borderId="33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/>
    </xf>
    <xf numFmtId="0" fontId="11" fillId="3" borderId="30" xfId="0" applyFont="1" applyFill="1" applyBorder="1" applyAlignment="1">
      <alignment/>
    </xf>
    <xf numFmtId="37" fontId="11" fillId="3" borderId="34" xfId="0" applyNumberFormat="1" applyFont="1" applyFill="1" applyBorder="1" applyAlignment="1">
      <alignment/>
    </xf>
    <xf numFmtId="37" fontId="11" fillId="3" borderId="35" xfId="0" applyNumberFormat="1" applyFont="1" applyFill="1" applyBorder="1" applyAlignment="1">
      <alignment/>
    </xf>
    <xf numFmtId="37" fontId="11" fillId="3" borderId="36" xfId="0" applyNumberFormat="1" applyFont="1" applyFill="1" applyBorder="1" applyAlignment="1">
      <alignment/>
    </xf>
    <xf numFmtId="37" fontId="11" fillId="3" borderId="37" xfId="0" applyNumberFormat="1" applyFont="1" applyFill="1" applyBorder="1" applyAlignment="1">
      <alignment/>
    </xf>
    <xf numFmtId="0" fontId="0" fillId="3" borderId="35" xfId="0" applyFill="1" applyBorder="1" applyAlignment="1">
      <alignment horizontal="center" wrapText="1"/>
    </xf>
    <xf numFmtId="0" fontId="11" fillId="3" borderId="38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37" fontId="10" fillId="2" borderId="0" xfId="44" applyFont="1" applyFill="1" applyAlignment="1">
      <alignment horizontal="center" wrapText="1"/>
      <protection/>
    </xf>
    <xf numFmtId="0" fontId="11" fillId="2" borderId="0" xfId="0" applyFont="1" applyFill="1" applyAlignment="1">
      <alignment horizontal="center" wrapText="1"/>
    </xf>
    <xf numFmtId="37" fontId="10" fillId="2" borderId="39" xfId="44" applyFont="1" applyFill="1" applyBorder="1" applyAlignment="1">
      <alignment horizontal="center"/>
      <protection/>
    </xf>
    <xf numFmtId="37" fontId="10" fillId="2" borderId="1" xfId="44" applyFont="1" applyFill="1" applyBorder="1" applyAlignment="1">
      <alignment horizontal="center"/>
      <protection/>
    </xf>
    <xf numFmtId="37" fontId="10" fillId="2" borderId="40" xfId="44" applyFont="1" applyFill="1" applyBorder="1" applyAlignment="1">
      <alignment horizontal="center"/>
      <protection/>
    </xf>
    <xf numFmtId="37" fontId="10" fillId="2" borderId="0" xfId="44" applyFont="1" applyFill="1" applyAlignment="1">
      <alignment horizontal="left" wrapText="1"/>
      <protection/>
    </xf>
    <xf numFmtId="0" fontId="11" fillId="2" borderId="0" xfId="0" applyFont="1" applyFill="1" applyAlignment="1">
      <alignment wrapText="1"/>
    </xf>
    <xf numFmtId="37" fontId="12" fillId="2" borderId="0" xfId="44" applyFont="1" applyFill="1" applyAlignment="1">
      <alignment wrapText="1"/>
      <protection/>
    </xf>
    <xf numFmtId="0" fontId="11" fillId="2" borderId="6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</cellXfs>
  <cellStyles count="43">
    <cellStyle name="Normal" xfId="0"/>
    <cellStyle name="RowLevel_0" xfId="1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Enter Currency (0)" xfId="30"/>
    <cellStyle name="Enter Currency (2)" xfId="31"/>
    <cellStyle name="Enter Units (0)" xfId="32"/>
    <cellStyle name="Enter Units (1)" xfId="33"/>
    <cellStyle name="Enter Units (2)" xfId="34"/>
    <cellStyle name="Followed Hyperlink" xfId="35"/>
    <cellStyle name="Header1" xfId="36"/>
    <cellStyle name="Header2" xfId="37"/>
    <cellStyle name="Hyperlink" xfId="38"/>
    <cellStyle name="Link Currency (0)" xfId="39"/>
    <cellStyle name="Link Currency (2)" xfId="40"/>
    <cellStyle name="Link Units (0)" xfId="41"/>
    <cellStyle name="Link Units (1)" xfId="42"/>
    <cellStyle name="Link Units (2)" xfId="43"/>
    <cellStyle name="Normal_Historic Student Enrollment" xfId="44"/>
    <cellStyle name="Percent" xfId="45"/>
    <cellStyle name="Percent [0]" xfId="46"/>
    <cellStyle name="Percent [00]" xfId="47"/>
    <cellStyle name="PrePop Currency (0)" xfId="48"/>
    <cellStyle name="PrePop Currency (2)" xfId="49"/>
    <cellStyle name="PrePop Units (0)" xfId="50"/>
    <cellStyle name="PrePop Units (1)" xfId="51"/>
    <cellStyle name="PrePop Units (2)" xfId="52"/>
    <cellStyle name="Text Indent A" xfId="53"/>
    <cellStyle name="Text Indent B" xfId="54"/>
    <cellStyle name="Text Indent C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L6" sqref="L6"/>
    </sheetView>
  </sheetViews>
  <sheetFormatPr defaultColWidth="9.140625" defaultRowHeight="12.75"/>
  <cols>
    <col min="1" max="1" width="6.8515625" style="48" customWidth="1"/>
    <col min="3" max="3" width="9.421875" style="0" customWidth="1"/>
    <col min="4" max="4" width="6.00390625" style="0" customWidth="1"/>
    <col min="5" max="5" width="7.8515625" style="0" customWidth="1"/>
    <col min="6" max="6" width="10.140625" style="0" customWidth="1"/>
    <col min="7" max="7" width="8.421875" style="0" customWidth="1"/>
    <col min="8" max="8" width="8.28125" style="0" customWidth="1"/>
    <col min="9" max="9" width="8.57421875" style="51" customWidth="1"/>
    <col min="10" max="10" width="0" style="0" hidden="1" customWidth="1"/>
    <col min="11" max="11" width="0.13671875" style="0" customWidth="1"/>
    <col min="12" max="12" width="12.28125" style="0" customWidth="1"/>
    <col min="13" max="13" width="11.57421875" style="0" customWidth="1"/>
    <col min="14" max="14" width="15.00390625" style="0" customWidth="1"/>
  </cols>
  <sheetData>
    <row r="1" spans="1:14" ht="13.5" thickBot="1">
      <c r="A1" s="98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.5" thickBot="1">
      <c r="A2" s="100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3.5">
      <c r="A3" s="1"/>
      <c r="B3" s="2"/>
      <c r="C3" s="2"/>
      <c r="D3" s="2"/>
      <c r="E3" s="2"/>
      <c r="F3" s="2"/>
      <c r="G3" s="2"/>
      <c r="H3" s="2"/>
      <c r="I3" s="46"/>
      <c r="J3" s="2"/>
      <c r="K3" s="2"/>
      <c r="L3" s="2"/>
      <c r="M3" s="2"/>
      <c r="N3" s="2"/>
    </row>
    <row r="4" spans="1:14" ht="16.5" customHeight="1" thickBot="1">
      <c r="A4" s="3" t="s">
        <v>25</v>
      </c>
      <c r="B4" s="4"/>
      <c r="C4" s="4"/>
      <c r="D4" s="4"/>
      <c r="E4" s="4"/>
      <c r="F4" s="4"/>
      <c r="G4" s="4"/>
      <c r="H4" s="4"/>
      <c r="I4" s="58"/>
      <c r="J4" s="5"/>
      <c r="K4" s="5"/>
      <c r="L4" s="4"/>
      <c r="M4" s="4"/>
      <c r="N4" s="85"/>
    </row>
    <row r="5" spans="1:14" ht="45" customHeight="1">
      <c r="A5" s="6"/>
      <c r="B5" s="7" t="s">
        <v>24</v>
      </c>
      <c r="C5" s="8"/>
      <c r="D5" s="9"/>
      <c r="E5" s="9"/>
      <c r="F5" s="9"/>
      <c r="G5" s="9"/>
      <c r="H5" s="10"/>
      <c r="I5" s="59"/>
      <c r="J5" s="11"/>
      <c r="K5" s="12"/>
      <c r="L5" s="106" t="s">
        <v>43</v>
      </c>
      <c r="M5" s="107"/>
      <c r="N5" s="96" t="s">
        <v>46</v>
      </c>
    </row>
    <row r="6" spans="1:14" s="22" customFormat="1" ht="76.5" customHeight="1">
      <c r="A6" s="13" t="s">
        <v>0</v>
      </c>
      <c r="B6" s="14" t="s">
        <v>1</v>
      </c>
      <c r="C6" s="15" t="s">
        <v>23</v>
      </c>
      <c r="D6" s="16" t="s">
        <v>20</v>
      </c>
      <c r="E6" s="17" t="s">
        <v>2</v>
      </c>
      <c r="F6" s="17" t="s">
        <v>37</v>
      </c>
      <c r="G6" s="18" t="s">
        <v>3</v>
      </c>
      <c r="H6" s="17" t="s">
        <v>40</v>
      </c>
      <c r="I6" s="82" t="s">
        <v>44</v>
      </c>
      <c r="J6" s="19" t="s">
        <v>4</v>
      </c>
      <c r="K6" s="15" t="s">
        <v>5</v>
      </c>
      <c r="L6" s="20" t="s">
        <v>48</v>
      </c>
      <c r="M6" s="88" t="s">
        <v>45</v>
      </c>
      <c r="N6" s="95" t="s">
        <v>42</v>
      </c>
    </row>
    <row r="7" spans="1:14" ht="13.5">
      <c r="A7" s="23" t="s">
        <v>6</v>
      </c>
      <c r="B7" s="24">
        <f>((6015-85)+(6297-72))/2</f>
        <v>6077.5</v>
      </c>
      <c r="C7" s="25">
        <f>((6760-51)+(6908-55))/2</f>
        <v>6781</v>
      </c>
      <c r="D7" s="25">
        <f aca="true" t="shared" si="0" ref="D7:D15">SUM(C7-B7)</f>
        <v>703.5</v>
      </c>
      <c r="E7" s="55">
        <f>ROUND(D7/30,0)</f>
        <v>23</v>
      </c>
      <c r="F7" s="52">
        <f>E7/E18</f>
        <v>0.08550185873605948</v>
      </c>
      <c r="G7" s="26">
        <f>ROUND(E7*(23/E16),4)</f>
        <v>2.195</v>
      </c>
      <c r="H7" s="25">
        <f aca="true" t="shared" si="1" ref="H7:H15">TRUNC(G7)</f>
        <v>2</v>
      </c>
      <c r="I7" s="71">
        <f aca="true" t="shared" si="2" ref="I7:I12">H7</f>
        <v>2</v>
      </c>
      <c r="J7" s="27">
        <v>3</v>
      </c>
      <c r="K7" s="28"/>
      <c r="L7" s="29">
        <v>4</v>
      </c>
      <c r="M7" s="86">
        <v>3</v>
      </c>
      <c r="N7" s="91">
        <f aca="true" t="shared" si="3" ref="N7:N16">SUM(I7,M7)</f>
        <v>5</v>
      </c>
    </row>
    <row r="8" spans="1:14" ht="13.5">
      <c r="A8" s="23" t="s">
        <v>7</v>
      </c>
      <c r="B8" s="49">
        <f>((9685-198)+(9760-178))/2</f>
        <v>9534.5</v>
      </c>
      <c r="C8" s="25">
        <f>((10681-129)+(11017-143))/2</f>
        <v>10713</v>
      </c>
      <c r="D8" s="25">
        <f t="shared" si="0"/>
        <v>1178.5</v>
      </c>
      <c r="E8" s="55">
        <f>ROUND(D8/30,0)</f>
        <v>39</v>
      </c>
      <c r="F8" s="52">
        <f>E8/$E$18</f>
        <v>0.1449814126394052</v>
      </c>
      <c r="G8" s="26">
        <f>ROUND(E8*(23/E16),4)</f>
        <v>3.722</v>
      </c>
      <c r="H8" s="25">
        <f t="shared" si="1"/>
        <v>3</v>
      </c>
      <c r="I8" s="71">
        <v>4</v>
      </c>
      <c r="J8" s="27">
        <v>1</v>
      </c>
      <c r="K8" s="28"/>
      <c r="L8" s="29">
        <v>4</v>
      </c>
      <c r="M8" s="86">
        <v>3</v>
      </c>
      <c r="N8" s="91">
        <f t="shared" si="3"/>
        <v>7</v>
      </c>
    </row>
    <row r="9" spans="1:14" ht="13.5">
      <c r="A9" s="23" t="s">
        <v>8</v>
      </c>
      <c r="B9" s="49">
        <f>((2881-276)+--(3046-291))/2</f>
        <v>2680</v>
      </c>
      <c r="C9" s="25">
        <f>((3440-331)+--(3697-288))/2</f>
        <v>3259</v>
      </c>
      <c r="D9" s="25">
        <f t="shared" si="0"/>
        <v>579</v>
      </c>
      <c r="E9" s="55">
        <f aca="true" t="shared" si="4" ref="E9:E15">ROUND(D9/30,0)</f>
        <v>19</v>
      </c>
      <c r="F9" s="52">
        <f aca="true" t="shared" si="5" ref="F9:F17">E9/$E$18</f>
        <v>0.07063197026022305</v>
      </c>
      <c r="G9" s="26">
        <f>ROUND(E9*(23/E16),4)</f>
        <v>1.8133</v>
      </c>
      <c r="H9" s="25">
        <f t="shared" si="1"/>
        <v>1</v>
      </c>
      <c r="I9" s="71">
        <v>2</v>
      </c>
      <c r="J9" s="27">
        <v>2</v>
      </c>
      <c r="K9" s="28"/>
      <c r="L9" s="29">
        <v>3</v>
      </c>
      <c r="M9" s="86">
        <v>3</v>
      </c>
      <c r="N9" s="91">
        <f t="shared" si="3"/>
        <v>5</v>
      </c>
    </row>
    <row r="10" spans="1:14" ht="13.5">
      <c r="A10" s="23" t="s">
        <v>9</v>
      </c>
      <c r="B10" s="49">
        <f>((12511-49)+(13374-59))/2</f>
        <v>12888.5</v>
      </c>
      <c r="C10" s="25">
        <f>((14409-87)+(15115-84))/2</f>
        <v>14676.5</v>
      </c>
      <c r="D10" s="25">
        <f t="shared" si="0"/>
        <v>1788</v>
      </c>
      <c r="E10" s="55">
        <f t="shared" si="4"/>
        <v>60</v>
      </c>
      <c r="F10" s="52">
        <f t="shared" si="5"/>
        <v>0.22304832713754646</v>
      </c>
      <c r="G10" s="26">
        <f>ROUND(E10*(23/E16),4)</f>
        <v>5.7261</v>
      </c>
      <c r="H10" s="25">
        <f t="shared" si="1"/>
        <v>5</v>
      </c>
      <c r="I10" s="71">
        <v>6</v>
      </c>
      <c r="J10" s="27">
        <v>5</v>
      </c>
      <c r="K10" s="28"/>
      <c r="L10" s="29">
        <v>5</v>
      </c>
      <c r="M10" s="86">
        <v>3</v>
      </c>
      <c r="N10" s="91">
        <f t="shared" si="3"/>
        <v>9</v>
      </c>
    </row>
    <row r="11" spans="1:14" ht="13.5">
      <c r="A11" s="23" t="s">
        <v>10</v>
      </c>
      <c r="B11" s="49">
        <f>((5316-7)+(5784-12))/2</f>
        <v>5540.5</v>
      </c>
      <c r="C11" s="25">
        <f>((6210-28)+(6396-18))/2</f>
        <v>6280</v>
      </c>
      <c r="D11" s="25">
        <f t="shared" si="0"/>
        <v>739.5</v>
      </c>
      <c r="E11" s="55">
        <f t="shared" si="4"/>
        <v>25</v>
      </c>
      <c r="F11" s="52">
        <f t="shared" si="5"/>
        <v>0.09293680297397769</v>
      </c>
      <c r="G11" s="26">
        <f>ROUND(E11*(23/E16),4)</f>
        <v>2.3859</v>
      </c>
      <c r="H11" s="25">
        <f t="shared" si="1"/>
        <v>2</v>
      </c>
      <c r="I11" s="71">
        <f t="shared" si="2"/>
        <v>2</v>
      </c>
      <c r="J11" s="27">
        <v>4</v>
      </c>
      <c r="K11" s="28"/>
      <c r="L11" s="29">
        <v>4.5</v>
      </c>
      <c r="M11" s="86">
        <v>3</v>
      </c>
      <c r="N11" s="91">
        <f t="shared" si="3"/>
        <v>5</v>
      </c>
    </row>
    <row r="12" spans="1:14" ht="13.5">
      <c r="A12" s="23" t="s">
        <v>11</v>
      </c>
      <c r="B12" s="49">
        <f>((1515-111)+(1633-75))/2</f>
        <v>1481</v>
      </c>
      <c r="C12" s="25">
        <f>((1839-41)+(2014-50))/2</f>
        <v>1881</v>
      </c>
      <c r="D12" s="25">
        <f t="shared" si="0"/>
        <v>400</v>
      </c>
      <c r="E12" s="55">
        <f t="shared" si="4"/>
        <v>13</v>
      </c>
      <c r="F12" s="52">
        <f t="shared" si="5"/>
        <v>0.048327137546468404</v>
      </c>
      <c r="G12" s="26">
        <f>ROUND(E12*(23/E16),4)</f>
        <v>1.2407</v>
      </c>
      <c r="H12" s="25">
        <f t="shared" si="1"/>
        <v>1</v>
      </c>
      <c r="I12" s="71">
        <f t="shared" si="2"/>
        <v>1</v>
      </c>
      <c r="J12" s="27">
        <v>2</v>
      </c>
      <c r="K12" s="28"/>
      <c r="L12" s="29">
        <v>1</v>
      </c>
      <c r="M12" s="86">
        <v>1</v>
      </c>
      <c r="N12" s="91">
        <f t="shared" si="3"/>
        <v>2</v>
      </c>
    </row>
    <row r="13" spans="1:14" ht="13.5">
      <c r="A13" s="23" t="s">
        <v>12</v>
      </c>
      <c r="B13" s="49">
        <f>((2927-135)+(3358-170))/2</f>
        <v>2990</v>
      </c>
      <c r="C13" s="25">
        <f>((3849-180)+(4222-162))/2</f>
        <v>3864.5</v>
      </c>
      <c r="D13" s="25">
        <f t="shared" si="0"/>
        <v>874.5</v>
      </c>
      <c r="E13" s="55">
        <f t="shared" si="4"/>
        <v>29</v>
      </c>
      <c r="F13" s="52">
        <f t="shared" si="5"/>
        <v>0.10780669144981413</v>
      </c>
      <c r="G13" s="26">
        <f>ROUND(E13*(23/E16),4)</f>
        <v>2.7676</v>
      </c>
      <c r="H13" s="25">
        <f t="shared" si="1"/>
        <v>2</v>
      </c>
      <c r="I13" s="71">
        <v>3</v>
      </c>
      <c r="J13" s="27">
        <v>3</v>
      </c>
      <c r="K13" s="28"/>
      <c r="L13" s="29">
        <v>3</v>
      </c>
      <c r="M13" s="86">
        <v>3</v>
      </c>
      <c r="N13" s="91">
        <f t="shared" si="3"/>
        <v>6</v>
      </c>
    </row>
    <row r="14" spans="1:14" ht="13.5">
      <c r="A14" s="23" t="s">
        <v>13</v>
      </c>
      <c r="B14" s="49">
        <f>(3275+3448)/2</f>
        <v>3361.5</v>
      </c>
      <c r="C14" s="25">
        <f>(3724+3971)/2</f>
        <v>3847.5</v>
      </c>
      <c r="D14" s="25">
        <f t="shared" si="0"/>
        <v>486</v>
      </c>
      <c r="E14" s="55">
        <f t="shared" si="4"/>
        <v>16</v>
      </c>
      <c r="F14" s="52">
        <f t="shared" si="5"/>
        <v>0.05947955390334572</v>
      </c>
      <c r="G14" s="26">
        <f>ROUND(E14*(23/E16),4)</f>
        <v>1.527</v>
      </c>
      <c r="H14" s="25">
        <f t="shared" si="1"/>
        <v>1</v>
      </c>
      <c r="I14" s="71">
        <v>2</v>
      </c>
      <c r="J14" s="27">
        <v>2</v>
      </c>
      <c r="K14" s="28"/>
      <c r="L14" s="29">
        <v>3</v>
      </c>
      <c r="M14" s="86">
        <v>3</v>
      </c>
      <c r="N14" s="91">
        <f t="shared" si="3"/>
        <v>5</v>
      </c>
    </row>
    <row r="15" spans="1:14" s="21" customFormat="1" ht="13.5">
      <c r="A15" s="30" t="s">
        <v>14</v>
      </c>
      <c r="B15" s="50">
        <f>((1881-218)+(2116-220))/2</f>
        <v>1779.5</v>
      </c>
      <c r="C15" s="31">
        <f>((2461-254)+(2588-203))/2</f>
        <v>2296</v>
      </c>
      <c r="D15" s="31">
        <f t="shared" si="0"/>
        <v>516.5</v>
      </c>
      <c r="E15" s="55">
        <f t="shared" si="4"/>
        <v>17</v>
      </c>
      <c r="F15" s="52">
        <f t="shared" si="5"/>
        <v>0.06319702602230483</v>
      </c>
      <c r="G15" s="26">
        <f>ROUND(E15*(23/E16),4)</f>
        <v>1.6224</v>
      </c>
      <c r="H15" s="25">
        <f t="shared" si="1"/>
        <v>1</v>
      </c>
      <c r="I15" s="71">
        <v>2</v>
      </c>
      <c r="J15" s="32">
        <v>2</v>
      </c>
      <c r="K15" s="33"/>
      <c r="L15" s="34">
        <v>3</v>
      </c>
      <c r="M15" s="89">
        <v>3</v>
      </c>
      <c r="N15" s="92">
        <f t="shared" si="3"/>
        <v>5</v>
      </c>
    </row>
    <row r="16" spans="1:15" ht="14.25" thickBot="1">
      <c r="A16" s="35" t="s">
        <v>15</v>
      </c>
      <c r="B16" s="36">
        <f aca="true" t="shared" si="6" ref="B16:J16">SUM(B7:B15)</f>
        <v>46333</v>
      </c>
      <c r="C16" s="37">
        <f t="shared" si="6"/>
        <v>53598.5</v>
      </c>
      <c r="D16" s="37">
        <f t="shared" si="6"/>
        <v>7265.5</v>
      </c>
      <c r="E16" s="56">
        <f t="shared" si="6"/>
        <v>241</v>
      </c>
      <c r="F16" s="53">
        <f>SUM(F7:F15)</f>
        <v>0.895910780669145</v>
      </c>
      <c r="G16" s="80">
        <f t="shared" si="6"/>
        <v>23</v>
      </c>
      <c r="H16" s="37">
        <f t="shared" si="6"/>
        <v>18</v>
      </c>
      <c r="I16" s="83">
        <f t="shared" si="6"/>
        <v>24</v>
      </c>
      <c r="J16" s="38">
        <f t="shared" si="6"/>
        <v>24</v>
      </c>
      <c r="K16" s="39"/>
      <c r="L16" s="40">
        <f>SUM(L7:L15)</f>
        <v>30.5</v>
      </c>
      <c r="M16" s="90">
        <f>SUM(M7:M15)</f>
        <v>25</v>
      </c>
      <c r="N16" s="93">
        <f t="shared" si="3"/>
        <v>49</v>
      </c>
      <c r="O16" s="97"/>
    </row>
    <row r="17" spans="1:14" ht="13.5">
      <c r="A17" s="23" t="s">
        <v>16</v>
      </c>
      <c r="B17" s="25">
        <f>((8176-1062)+(8201-1111))/2</f>
        <v>7102</v>
      </c>
      <c r="C17" s="25">
        <f>((8771-1382)+(9932-1443))/2</f>
        <v>7939</v>
      </c>
      <c r="D17" s="25">
        <f>SUM(C17-B17)</f>
        <v>837</v>
      </c>
      <c r="E17" s="55">
        <f>ROUND(D17/30,0)</f>
        <v>28</v>
      </c>
      <c r="F17" s="52">
        <f t="shared" si="5"/>
        <v>0.10408921933085502</v>
      </c>
      <c r="G17" s="26">
        <f>ROUND(E17*(25/E18),4)</f>
        <v>2.6022</v>
      </c>
      <c r="H17" s="25">
        <v>2</v>
      </c>
      <c r="I17" s="71">
        <f>H17</f>
        <v>2</v>
      </c>
      <c r="J17" s="27">
        <v>1</v>
      </c>
      <c r="K17" s="28"/>
      <c r="L17" s="29">
        <v>1</v>
      </c>
      <c r="M17" s="86">
        <v>1</v>
      </c>
      <c r="N17" s="91">
        <f>SUM(H17,M17)</f>
        <v>3</v>
      </c>
    </row>
    <row r="18" spans="1:14" ht="14.25" thickBot="1">
      <c r="A18" s="30" t="s">
        <v>15</v>
      </c>
      <c r="B18" s="41">
        <f aca="true" t="shared" si="7" ref="B18:N18">SUM(B17,B16)</f>
        <v>53435</v>
      </c>
      <c r="C18" s="42">
        <f t="shared" si="7"/>
        <v>61537.5</v>
      </c>
      <c r="D18" s="42">
        <f t="shared" si="7"/>
        <v>8102.5</v>
      </c>
      <c r="E18" s="57">
        <f t="shared" si="7"/>
        <v>269</v>
      </c>
      <c r="F18" s="54">
        <f>SUM(F16:F17)</f>
        <v>1</v>
      </c>
      <c r="G18" s="81">
        <f t="shared" si="7"/>
        <v>25.6022</v>
      </c>
      <c r="H18" s="42">
        <f t="shared" si="7"/>
        <v>20</v>
      </c>
      <c r="I18" s="84">
        <f t="shared" si="7"/>
        <v>26</v>
      </c>
      <c r="J18" s="31">
        <f t="shared" si="7"/>
        <v>25</v>
      </c>
      <c r="K18" s="31">
        <f t="shared" si="7"/>
        <v>0</v>
      </c>
      <c r="L18" s="43">
        <f t="shared" si="7"/>
        <v>31.5</v>
      </c>
      <c r="M18" s="87">
        <f t="shared" si="7"/>
        <v>26</v>
      </c>
      <c r="N18" s="94">
        <f t="shared" si="7"/>
        <v>52</v>
      </c>
    </row>
    <row r="19" spans="1:14" ht="13.5">
      <c r="A19" s="44"/>
      <c r="B19" s="25"/>
      <c r="C19" s="25"/>
      <c r="D19" s="25"/>
      <c r="E19" s="26"/>
      <c r="F19" s="26"/>
      <c r="G19" s="26"/>
      <c r="H19" s="25"/>
      <c r="I19" s="55"/>
      <c r="J19" s="28"/>
      <c r="K19" s="28"/>
      <c r="L19" s="28"/>
      <c r="M19" s="28"/>
      <c r="N19" s="25"/>
    </row>
    <row r="20" spans="1:14" ht="13.5">
      <c r="A20" s="45" t="s">
        <v>17</v>
      </c>
      <c r="B20" s="2"/>
      <c r="C20" s="2"/>
      <c r="D20" s="2"/>
      <c r="E20" s="2"/>
      <c r="F20" s="2"/>
      <c r="G20" s="2"/>
      <c r="H20" s="46"/>
      <c r="I20" s="46"/>
      <c r="J20" s="2"/>
      <c r="K20" s="2"/>
      <c r="L20" s="2"/>
      <c r="M20" s="2"/>
      <c r="N20" s="2"/>
    </row>
    <row r="21" spans="1:14" ht="13.5">
      <c r="A21" s="1" t="s">
        <v>41</v>
      </c>
      <c r="B21" s="2"/>
      <c r="C21" s="2"/>
      <c r="D21" s="2"/>
      <c r="E21" s="2"/>
      <c r="F21" s="2"/>
      <c r="G21" s="2"/>
      <c r="H21" s="2"/>
      <c r="I21" s="46"/>
      <c r="J21" s="2"/>
      <c r="K21" s="2"/>
      <c r="L21" s="2"/>
      <c r="M21" s="2"/>
      <c r="N21" s="2"/>
    </row>
    <row r="22" spans="1:14" ht="13.5">
      <c r="A22" s="1" t="s">
        <v>18</v>
      </c>
      <c r="B22" s="2"/>
      <c r="C22" s="2"/>
      <c r="D22" s="2"/>
      <c r="E22" s="2"/>
      <c r="F22" s="2"/>
      <c r="G22" s="2"/>
      <c r="H22" s="2"/>
      <c r="I22" s="46"/>
      <c r="J22" s="2"/>
      <c r="K22" s="2"/>
      <c r="L22" s="2"/>
      <c r="M22" s="2"/>
      <c r="N22" s="2"/>
    </row>
    <row r="23" spans="1:14" ht="28.5" customHeight="1">
      <c r="A23" s="105" t="s">
        <v>19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29.25" customHeight="1">
      <c r="A24" s="105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ht="34.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ht="15">
      <c r="A26" s="47"/>
    </row>
    <row r="27" ht="15">
      <c r="A27" s="47"/>
    </row>
  </sheetData>
  <mergeCells count="6">
    <mergeCell ref="A1:N1"/>
    <mergeCell ref="A2:N2"/>
    <mergeCell ref="A25:N25"/>
    <mergeCell ref="A24:N24"/>
    <mergeCell ref="A23:N23"/>
    <mergeCell ref="L5:M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3" max="3" width="10.00390625" style="0" customWidth="1"/>
    <col min="4" max="4" width="14.57421875" style="0" customWidth="1"/>
    <col min="5" max="5" width="11.28125" style="0" customWidth="1"/>
    <col min="6" max="6" width="2.57421875" style="0" customWidth="1"/>
    <col min="9" max="9" width="14.28125" style="0" customWidth="1"/>
    <col min="11" max="11" width="13.421875" style="0" customWidth="1"/>
    <col min="12" max="12" width="11.8515625" style="0" customWidth="1"/>
  </cols>
  <sheetData>
    <row r="2" spans="1:12" ht="12.75">
      <c r="A2" s="114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12.75">
      <c r="B3" s="108" t="s">
        <v>27</v>
      </c>
      <c r="C3" s="110" t="s">
        <v>29</v>
      </c>
      <c r="D3" s="112" t="s">
        <v>30</v>
      </c>
      <c r="E3" s="110" t="s">
        <v>26</v>
      </c>
      <c r="F3" s="66"/>
      <c r="G3" s="110" t="s">
        <v>28</v>
      </c>
      <c r="H3" s="110" t="s">
        <v>29</v>
      </c>
      <c r="I3" s="112" t="s">
        <v>30</v>
      </c>
      <c r="J3" s="110" t="s">
        <v>26</v>
      </c>
      <c r="K3" s="115" t="s">
        <v>35</v>
      </c>
      <c r="L3" s="115" t="s">
        <v>31</v>
      </c>
    </row>
    <row r="4" spans="2:12" ht="12.75">
      <c r="B4" s="109"/>
      <c r="C4" s="111"/>
      <c r="D4" s="113"/>
      <c r="E4" s="111"/>
      <c r="F4" s="67"/>
      <c r="G4" s="111"/>
      <c r="H4" s="111"/>
      <c r="I4" s="113"/>
      <c r="J4" s="111"/>
      <c r="K4" s="116"/>
      <c r="L4" s="116"/>
    </row>
    <row r="5" spans="1:12" ht="15" customHeight="1">
      <c r="A5" s="63" t="s">
        <v>6</v>
      </c>
      <c r="B5">
        <v>6015</v>
      </c>
      <c r="D5">
        <v>84</v>
      </c>
      <c r="E5">
        <f>SUM(B5-C5-D5)</f>
        <v>5931</v>
      </c>
      <c r="G5">
        <v>6297</v>
      </c>
      <c r="I5">
        <v>72</v>
      </c>
      <c r="J5">
        <f>SUM(G5-H5-I5)</f>
        <v>6225</v>
      </c>
      <c r="K5" s="72">
        <f>J5-E5</f>
        <v>294</v>
      </c>
      <c r="L5" s="72">
        <f>(E5+J5)/2</f>
        <v>6078</v>
      </c>
    </row>
    <row r="6" spans="1:12" ht="15" customHeight="1">
      <c r="A6" s="63" t="s">
        <v>7</v>
      </c>
      <c r="B6">
        <v>9734</v>
      </c>
      <c r="C6">
        <v>49</v>
      </c>
      <c r="D6">
        <v>198</v>
      </c>
      <c r="E6">
        <f>SUM(B6-C6-D6)</f>
        <v>9487</v>
      </c>
      <c r="G6">
        <v>9846</v>
      </c>
      <c r="H6">
        <v>86</v>
      </c>
      <c r="I6">
        <v>178</v>
      </c>
      <c r="J6">
        <f>SUM(G6-H6-I6)</f>
        <v>9582</v>
      </c>
      <c r="K6" s="72">
        <f>J6-E6</f>
        <v>95</v>
      </c>
      <c r="L6" s="75">
        <f>(E6+J6)/2</f>
        <v>9534.5</v>
      </c>
    </row>
    <row r="7" spans="1:12" ht="15" customHeight="1">
      <c r="A7" s="63" t="s">
        <v>8</v>
      </c>
      <c r="B7">
        <f>3819-938</f>
        <v>2881</v>
      </c>
      <c r="D7">
        <v>276</v>
      </c>
      <c r="E7">
        <f aca="true" t="shared" si="0" ref="E7:E15">SUM(B7-C7-D7)</f>
        <v>2605</v>
      </c>
      <c r="G7">
        <f>4200-1154</f>
        <v>3046</v>
      </c>
      <c r="I7">
        <v>291</v>
      </c>
      <c r="J7">
        <f aca="true" t="shared" si="1" ref="J7:J15">SUM(G7-H7-I7)</f>
        <v>2755</v>
      </c>
      <c r="K7" s="72">
        <f aca="true" t="shared" si="2" ref="K7:K15">J7-E7</f>
        <v>150</v>
      </c>
      <c r="L7" s="75">
        <f aca="true" t="shared" si="3" ref="L7:L15">(E7+J7)/2</f>
        <v>2680</v>
      </c>
    </row>
    <row r="8" spans="1:12" ht="15" customHeight="1">
      <c r="A8" s="63" t="s">
        <v>9</v>
      </c>
      <c r="B8">
        <v>12521</v>
      </c>
      <c r="C8">
        <v>10</v>
      </c>
      <c r="D8">
        <v>49</v>
      </c>
      <c r="E8">
        <f t="shared" si="0"/>
        <v>12462</v>
      </c>
      <c r="G8">
        <v>13384</v>
      </c>
      <c r="H8">
        <v>10</v>
      </c>
      <c r="I8">
        <v>59</v>
      </c>
      <c r="J8">
        <f t="shared" si="1"/>
        <v>13315</v>
      </c>
      <c r="K8" s="72">
        <f t="shared" si="2"/>
        <v>853</v>
      </c>
      <c r="L8" s="75">
        <f t="shared" si="3"/>
        <v>12888.5</v>
      </c>
    </row>
    <row r="9" spans="1:12" ht="15" customHeight="1">
      <c r="A9" s="63" t="s">
        <v>10</v>
      </c>
      <c r="B9">
        <v>5316</v>
      </c>
      <c r="D9">
        <v>7</v>
      </c>
      <c r="E9">
        <f t="shared" si="0"/>
        <v>5309</v>
      </c>
      <c r="G9">
        <v>5784</v>
      </c>
      <c r="I9">
        <v>12</v>
      </c>
      <c r="J9">
        <f t="shared" si="1"/>
        <v>5772</v>
      </c>
      <c r="K9" s="72">
        <f t="shared" si="2"/>
        <v>463</v>
      </c>
      <c r="L9" s="75">
        <f t="shared" si="3"/>
        <v>5540.5</v>
      </c>
    </row>
    <row r="10" spans="1:12" ht="15" customHeight="1">
      <c r="A10" s="63" t="s">
        <v>11</v>
      </c>
      <c r="B10">
        <v>1514</v>
      </c>
      <c r="D10">
        <v>111</v>
      </c>
      <c r="E10">
        <f t="shared" si="0"/>
        <v>1403</v>
      </c>
      <c r="G10">
        <v>1633</v>
      </c>
      <c r="I10">
        <v>75</v>
      </c>
      <c r="J10">
        <f t="shared" si="1"/>
        <v>1558</v>
      </c>
      <c r="K10" s="72">
        <f t="shared" si="2"/>
        <v>155</v>
      </c>
      <c r="L10" s="75">
        <f t="shared" si="3"/>
        <v>1480.5</v>
      </c>
    </row>
    <row r="11" spans="1:12" ht="15" customHeight="1">
      <c r="A11" s="63" t="s">
        <v>12</v>
      </c>
      <c r="B11">
        <v>2927</v>
      </c>
      <c r="D11">
        <v>135</v>
      </c>
      <c r="E11">
        <f t="shared" si="0"/>
        <v>2792</v>
      </c>
      <c r="G11">
        <v>3358</v>
      </c>
      <c r="I11">
        <v>170</v>
      </c>
      <c r="J11">
        <f t="shared" si="1"/>
        <v>3188</v>
      </c>
      <c r="K11" s="72">
        <f t="shared" si="2"/>
        <v>396</v>
      </c>
      <c r="L11" s="75">
        <f t="shared" si="3"/>
        <v>2990</v>
      </c>
    </row>
    <row r="12" spans="1:12" ht="15" customHeight="1">
      <c r="A12" s="63" t="s">
        <v>13</v>
      </c>
      <c r="B12">
        <v>3275</v>
      </c>
      <c r="E12">
        <f t="shared" si="0"/>
        <v>3275</v>
      </c>
      <c r="G12">
        <v>3448</v>
      </c>
      <c r="J12">
        <f t="shared" si="1"/>
        <v>3448</v>
      </c>
      <c r="K12" s="72">
        <f t="shared" si="2"/>
        <v>173</v>
      </c>
      <c r="L12" s="75">
        <f t="shared" si="3"/>
        <v>3361.5</v>
      </c>
    </row>
    <row r="13" spans="1:12" ht="15" customHeight="1">
      <c r="A13" s="63" t="s">
        <v>14</v>
      </c>
      <c r="B13">
        <f>1912-31</f>
        <v>1881</v>
      </c>
      <c r="D13">
        <v>218</v>
      </c>
      <c r="E13">
        <f t="shared" si="0"/>
        <v>1663</v>
      </c>
      <c r="G13">
        <f>2238-122</f>
        <v>2116</v>
      </c>
      <c r="I13">
        <v>220</v>
      </c>
      <c r="J13">
        <f t="shared" si="1"/>
        <v>1896</v>
      </c>
      <c r="K13" s="72">
        <f t="shared" si="2"/>
        <v>233</v>
      </c>
      <c r="L13" s="75">
        <f t="shared" si="3"/>
        <v>1779.5</v>
      </c>
    </row>
    <row r="14" spans="1:12" ht="15" customHeight="1">
      <c r="A14" s="64" t="s">
        <v>26</v>
      </c>
      <c r="B14" s="60">
        <f>SUM(B5:B13)</f>
        <v>46064</v>
      </c>
      <c r="C14" s="60">
        <f>SUM(C5:C13)</f>
        <v>59</v>
      </c>
      <c r="D14" s="60">
        <f>SUM(D5:D13)</f>
        <v>1078</v>
      </c>
      <c r="E14" s="60">
        <f>SUM(E5:E13)</f>
        <v>44927</v>
      </c>
      <c r="F14" s="60"/>
      <c r="G14" s="60">
        <f>SUM(G5:G13)</f>
        <v>48912</v>
      </c>
      <c r="H14" s="60">
        <f>SUM(H5:H13)</f>
        <v>96</v>
      </c>
      <c r="I14" s="60">
        <f>SUM(I5:I13)</f>
        <v>1077</v>
      </c>
      <c r="J14" s="60">
        <f>SUM(J5:J13)</f>
        <v>47739</v>
      </c>
      <c r="K14" s="73">
        <f t="shared" si="2"/>
        <v>2812</v>
      </c>
      <c r="L14" s="73">
        <f t="shared" si="3"/>
        <v>46333</v>
      </c>
    </row>
    <row r="15" spans="1:12" ht="15" customHeight="1" thickBot="1">
      <c r="A15" s="65" t="s">
        <v>16</v>
      </c>
      <c r="B15" s="61">
        <v>9400</v>
      </c>
      <c r="C15" s="61">
        <v>1225</v>
      </c>
      <c r="D15" s="61">
        <v>1062</v>
      </c>
      <c r="E15" s="61">
        <f t="shared" si="0"/>
        <v>7113</v>
      </c>
      <c r="F15" s="61"/>
      <c r="G15" s="61">
        <v>9591</v>
      </c>
      <c r="H15" s="61">
        <v>1390</v>
      </c>
      <c r="I15" s="61">
        <v>1111</v>
      </c>
      <c r="J15" s="61">
        <f t="shared" si="1"/>
        <v>7090</v>
      </c>
      <c r="K15" s="74">
        <f t="shared" si="2"/>
        <v>-23</v>
      </c>
      <c r="L15" s="77">
        <f t="shared" si="3"/>
        <v>7101.5</v>
      </c>
    </row>
    <row r="16" spans="1:12" ht="15" customHeight="1" thickTop="1">
      <c r="A16" s="63" t="s">
        <v>26</v>
      </c>
      <c r="B16">
        <f>SUM(B14:B15)</f>
        <v>55464</v>
      </c>
      <c r="C16">
        <f>SUM(C14:C15)</f>
        <v>1284</v>
      </c>
      <c r="D16">
        <f>SUM(D14:D15)</f>
        <v>2140</v>
      </c>
      <c r="E16" s="79">
        <f>SUM(E14:E15)</f>
        <v>52040</v>
      </c>
      <c r="G16">
        <f aca="true" t="shared" si="4" ref="G16:L16">SUM(G14:G15)</f>
        <v>58503</v>
      </c>
      <c r="H16">
        <f t="shared" si="4"/>
        <v>1486</v>
      </c>
      <c r="I16">
        <f t="shared" si="4"/>
        <v>2188</v>
      </c>
      <c r="J16">
        <f t="shared" si="4"/>
        <v>54829</v>
      </c>
      <c r="K16" s="72">
        <f t="shared" si="4"/>
        <v>2789</v>
      </c>
      <c r="L16" s="75">
        <f t="shared" si="4"/>
        <v>53434.5</v>
      </c>
    </row>
    <row r="18" ht="12.75">
      <c r="E18">
        <f>B5-C5-D5</f>
        <v>5931</v>
      </c>
    </row>
    <row r="19" ht="12.75">
      <c r="E19">
        <f>B8-D8-C8</f>
        <v>12462</v>
      </c>
    </row>
    <row r="20" spans="1:12" ht="12.75">
      <c r="A20" s="114" t="s">
        <v>38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2:12" ht="12.75">
      <c r="B21" s="108" t="s">
        <v>32</v>
      </c>
      <c r="C21" s="110" t="s">
        <v>29</v>
      </c>
      <c r="D21" s="112" t="s">
        <v>30</v>
      </c>
      <c r="E21" s="110" t="s">
        <v>26</v>
      </c>
      <c r="F21" s="66"/>
      <c r="G21" s="110" t="s">
        <v>33</v>
      </c>
      <c r="H21" s="110" t="s">
        <v>29</v>
      </c>
      <c r="I21" s="112" t="s">
        <v>30</v>
      </c>
      <c r="J21" s="110" t="s">
        <v>26</v>
      </c>
      <c r="K21" s="115" t="s">
        <v>36</v>
      </c>
      <c r="L21" s="115" t="s">
        <v>34</v>
      </c>
    </row>
    <row r="22" spans="2:12" ht="12.75">
      <c r="B22" s="109"/>
      <c r="C22" s="111"/>
      <c r="D22" s="113"/>
      <c r="E22" s="111"/>
      <c r="F22" s="67"/>
      <c r="G22" s="111"/>
      <c r="H22" s="111"/>
      <c r="I22" s="113"/>
      <c r="J22" s="111"/>
      <c r="K22" s="116"/>
      <c r="L22" s="116"/>
    </row>
    <row r="23" spans="1:12" ht="15" customHeight="1">
      <c r="A23" s="63" t="s">
        <v>6</v>
      </c>
      <c r="B23">
        <v>6760</v>
      </c>
      <c r="D23">
        <v>51</v>
      </c>
      <c r="E23">
        <f>SUM(B23-C23-D23)</f>
        <v>6709</v>
      </c>
      <c r="G23" s="51">
        <v>6908</v>
      </c>
      <c r="H23" s="51"/>
      <c r="I23" s="51">
        <v>55</v>
      </c>
      <c r="J23" s="51">
        <f>SUM(G23)-(H23+I23)</f>
        <v>6853</v>
      </c>
      <c r="K23" s="72">
        <f>J23-E23</f>
        <v>144</v>
      </c>
      <c r="L23" s="75">
        <f>(E23+J23)/2</f>
        <v>6781</v>
      </c>
    </row>
    <row r="24" spans="1:12" ht="15" customHeight="1">
      <c r="A24" s="63" t="s">
        <v>7</v>
      </c>
      <c r="B24">
        <v>10782</v>
      </c>
      <c r="C24">
        <v>101</v>
      </c>
      <c r="D24">
        <v>129</v>
      </c>
      <c r="E24">
        <f>SUM(B24-C24-D24)</f>
        <v>10552</v>
      </c>
      <c r="G24" s="51">
        <v>11105</v>
      </c>
      <c r="H24" s="51">
        <v>88</v>
      </c>
      <c r="I24" s="51">
        <v>143</v>
      </c>
      <c r="J24" s="51">
        <f aca="true" t="shared" si="5" ref="J24:J34">SUM(G24)-(H24+I24)</f>
        <v>10874</v>
      </c>
      <c r="K24" s="72">
        <f>J24-E24</f>
        <v>322</v>
      </c>
      <c r="L24" s="75">
        <f>(E24+J24)/2</f>
        <v>10713</v>
      </c>
    </row>
    <row r="25" spans="1:12" ht="15" customHeight="1">
      <c r="A25" s="63" t="s">
        <v>8</v>
      </c>
      <c r="B25">
        <f>4411-971</f>
        <v>3440</v>
      </c>
      <c r="D25">
        <v>331</v>
      </c>
      <c r="E25">
        <f aca="true" t="shared" si="6" ref="E25:E33">SUM(B25-C25-D25)</f>
        <v>3109</v>
      </c>
      <c r="G25" s="51">
        <v>3697</v>
      </c>
      <c r="H25" s="51"/>
      <c r="I25" s="51">
        <v>288</v>
      </c>
      <c r="J25" s="51">
        <f t="shared" si="5"/>
        <v>3409</v>
      </c>
      <c r="K25" s="72">
        <f aca="true" t="shared" si="7" ref="K25:K33">J25-E25</f>
        <v>300</v>
      </c>
      <c r="L25" s="75">
        <f aca="true" t="shared" si="8" ref="L25:L33">(E25+J25)/2</f>
        <v>3259</v>
      </c>
    </row>
    <row r="26" spans="1:12" ht="15" customHeight="1">
      <c r="A26" s="63" t="s">
        <v>9</v>
      </c>
      <c r="B26">
        <v>14419</v>
      </c>
      <c r="C26">
        <v>10</v>
      </c>
      <c r="D26">
        <v>87</v>
      </c>
      <c r="E26">
        <f t="shared" si="6"/>
        <v>14322</v>
      </c>
      <c r="G26" s="51">
        <f>15115+10</f>
        <v>15125</v>
      </c>
      <c r="H26" s="51">
        <v>10</v>
      </c>
      <c r="I26" s="51">
        <v>84</v>
      </c>
      <c r="J26" s="51">
        <f t="shared" si="5"/>
        <v>15031</v>
      </c>
      <c r="K26" s="72">
        <f t="shared" si="7"/>
        <v>709</v>
      </c>
      <c r="L26" s="75">
        <f t="shared" si="8"/>
        <v>14676.5</v>
      </c>
    </row>
    <row r="27" spans="1:12" ht="15" customHeight="1">
      <c r="A27" s="63" t="s">
        <v>10</v>
      </c>
      <c r="B27">
        <v>6210</v>
      </c>
      <c r="D27">
        <v>28</v>
      </c>
      <c r="E27">
        <f t="shared" si="6"/>
        <v>6182</v>
      </c>
      <c r="G27" s="51">
        <v>6396</v>
      </c>
      <c r="H27" s="51"/>
      <c r="I27" s="51">
        <v>18</v>
      </c>
      <c r="J27" s="51">
        <f t="shared" si="5"/>
        <v>6378</v>
      </c>
      <c r="K27" s="72">
        <f t="shared" si="7"/>
        <v>196</v>
      </c>
      <c r="L27" s="75">
        <f t="shared" si="8"/>
        <v>6280</v>
      </c>
    </row>
    <row r="28" spans="1:12" ht="15" customHeight="1">
      <c r="A28" s="63" t="s">
        <v>11</v>
      </c>
      <c r="B28">
        <v>1839</v>
      </c>
      <c r="D28">
        <v>41</v>
      </c>
      <c r="E28">
        <f t="shared" si="6"/>
        <v>1798</v>
      </c>
      <c r="G28" s="51">
        <v>2014</v>
      </c>
      <c r="H28" s="51"/>
      <c r="I28" s="51">
        <v>50</v>
      </c>
      <c r="J28" s="51">
        <f t="shared" si="5"/>
        <v>1964</v>
      </c>
      <c r="K28" s="72">
        <f t="shared" si="7"/>
        <v>166</v>
      </c>
      <c r="L28" s="75">
        <f t="shared" si="8"/>
        <v>1881</v>
      </c>
    </row>
    <row r="29" spans="1:12" ht="15" customHeight="1">
      <c r="A29" s="63" t="s">
        <v>12</v>
      </c>
      <c r="B29">
        <v>3849</v>
      </c>
      <c r="D29">
        <v>180</v>
      </c>
      <c r="E29">
        <f t="shared" si="6"/>
        <v>3669</v>
      </c>
      <c r="G29" s="51">
        <v>4222</v>
      </c>
      <c r="H29" s="51"/>
      <c r="I29" s="51">
        <v>162</v>
      </c>
      <c r="J29" s="51">
        <f t="shared" si="5"/>
        <v>4060</v>
      </c>
      <c r="K29" s="72">
        <f t="shared" si="7"/>
        <v>391</v>
      </c>
      <c r="L29" s="75">
        <f t="shared" si="8"/>
        <v>3864.5</v>
      </c>
    </row>
    <row r="30" spans="1:12" ht="15" customHeight="1">
      <c r="A30" s="63" t="s">
        <v>13</v>
      </c>
      <c r="B30">
        <v>3724</v>
      </c>
      <c r="E30">
        <f t="shared" si="6"/>
        <v>3724</v>
      </c>
      <c r="G30" s="51">
        <v>3971</v>
      </c>
      <c r="H30" s="51"/>
      <c r="I30" s="51">
        <v>0</v>
      </c>
      <c r="J30" s="51">
        <f t="shared" si="5"/>
        <v>3971</v>
      </c>
      <c r="K30" s="72">
        <f t="shared" si="7"/>
        <v>247</v>
      </c>
      <c r="L30" s="75">
        <f t="shared" si="8"/>
        <v>3847.5</v>
      </c>
    </row>
    <row r="31" spans="1:12" ht="15" customHeight="1">
      <c r="A31" s="63" t="s">
        <v>14</v>
      </c>
      <c r="B31">
        <f>2604-143</f>
        <v>2461</v>
      </c>
      <c r="D31">
        <v>254</v>
      </c>
      <c r="E31">
        <f t="shared" si="6"/>
        <v>2207</v>
      </c>
      <c r="G31" s="51">
        <v>2588</v>
      </c>
      <c r="H31" s="51"/>
      <c r="I31" s="51">
        <v>203</v>
      </c>
      <c r="J31" s="51">
        <f t="shared" si="5"/>
        <v>2385</v>
      </c>
      <c r="K31" s="72">
        <f t="shared" si="7"/>
        <v>178</v>
      </c>
      <c r="L31" s="75">
        <f t="shared" si="8"/>
        <v>2296</v>
      </c>
    </row>
    <row r="32" spans="1:12" ht="15" customHeight="1">
      <c r="A32" s="64" t="s">
        <v>26</v>
      </c>
      <c r="B32" s="60">
        <f>SUM(B23:B31)</f>
        <v>53484</v>
      </c>
      <c r="C32" s="60">
        <f>SUM(C23:C31)</f>
        <v>111</v>
      </c>
      <c r="D32" s="60">
        <f>SUM(D23:D31)</f>
        <v>1101</v>
      </c>
      <c r="E32" s="60">
        <f>SUM(E23:E31)</f>
        <v>52272</v>
      </c>
      <c r="F32" s="60"/>
      <c r="G32" s="62">
        <f>SUM(G23:G31)</f>
        <v>56026</v>
      </c>
      <c r="H32" s="62">
        <f>SUM(H23:H31)</f>
        <v>98</v>
      </c>
      <c r="I32" s="62">
        <f>SUM(I23:I31)</f>
        <v>1003</v>
      </c>
      <c r="J32" s="62">
        <f t="shared" si="5"/>
        <v>54925</v>
      </c>
      <c r="K32" s="76">
        <f>SUM(K23:K31)</f>
        <v>2653</v>
      </c>
      <c r="L32" s="76">
        <f>SUM(L23:L31)</f>
        <v>53598.5</v>
      </c>
    </row>
    <row r="33" spans="1:12" ht="15" customHeight="1" thickBot="1">
      <c r="A33" s="65" t="s">
        <v>16</v>
      </c>
      <c r="B33" s="61">
        <v>10227</v>
      </c>
      <c r="C33" s="61">
        <v>1456</v>
      </c>
      <c r="D33" s="61">
        <v>1382</v>
      </c>
      <c r="E33" s="61">
        <f t="shared" si="6"/>
        <v>7389</v>
      </c>
      <c r="F33" s="61"/>
      <c r="G33" s="69">
        <f>9932+1619</f>
        <v>11551</v>
      </c>
      <c r="H33" s="69">
        <v>1619</v>
      </c>
      <c r="I33" s="69">
        <v>1443</v>
      </c>
      <c r="J33" s="69">
        <f t="shared" si="5"/>
        <v>8489</v>
      </c>
      <c r="K33" s="74">
        <f t="shared" si="7"/>
        <v>1100</v>
      </c>
      <c r="L33" s="77">
        <f t="shared" si="8"/>
        <v>7939</v>
      </c>
    </row>
    <row r="34" spans="1:12" ht="15" customHeight="1" thickTop="1">
      <c r="A34" s="70" t="s">
        <v>26</v>
      </c>
      <c r="B34" s="21">
        <f>SUM(B32:B33)</f>
        <v>63711</v>
      </c>
      <c r="C34" s="21">
        <f>SUM(C32:C33)</f>
        <v>1567</v>
      </c>
      <c r="D34" s="21">
        <f>SUM(D32:D33)</f>
        <v>2483</v>
      </c>
      <c r="E34" s="21">
        <f>SUM(E32:E33)</f>
        <v>59661</v>
      </c>
      <c r="F34" s="21"/>
      <c r="G34" s="68">
        <f>SUM(G32:G33)</f>
        <v>67577</v>
      </c>
      <c r="H34" s="68">
        <f>SUM(H32:H33)</f>
        <v>1717</v>
      </c>
      <c r="I34" s="68">
        <f>SUM(I32:I33)</f>
        <v>2446</v>
      </c>
      <c r="J34" s="68">
        <f t="shared" si="5"/>
        <v>63414</v>
      </c>
      <c r="K34" s="78">
        <f>SUM(K32:K33)</f>
        <v>3753</v>
      </c>
      <c r="L34" s="78">
        <f>SUM(L32:L33)</f>
        <v>61537.5</v>
      </c>
    </row>
  </sheetData>
  <mergeCells count="22">
    <mergeCell ref="A2:L2"/>
    <mergeCell ref="K21:K22"/>
    <mergeCell ref="L21:L22"/>
    <mergeCell ref="K3:K4"/>
    <mergeCell ref="L3:L4"/>
    <mergeCell ref="A20:L20"/>
    <mergeCell ref="B21:B22"/>
    <mergeCell ref="C21:C22"/>
    <mergeCell ref="D21:D22"/>
    <mergeCell ref="E21:E22"/>
    <mergeCell ref="G21:G22"/>
    <mergeCell ref="H21:H22"/>
    <mergeCell ref="I21:I22"/>
    <mergeCell ref="J21:J22"/>
    <mergeCell ref="G3:G4"/>
    <mergeCell ref="H3:H4"/>
    <mergeCell ref="I3:I4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r:id="rId1"/>
  <headerFooter alignWithMargins="0">
    <oddHeader>&amp;CFY 05-06 Faculty Formula
2-Year Comparisons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 Helminski</dc:creator>
  <cp:keywords/>
  <dc:description/>
  <cp:lastModifiedBy>PC Staff</cp:lastModifiedBy>
  <cp:lastPrinted>2004-09-01T15:04:30Z</cp:lastPrinted>
  <dcterms:created xsi:type="dcterms:W3CDTF">2004-08-23T21:19:16Z</dcterms:created>
  <dcterms:modified xsi:type="dcterms:W3CDTF">2005-01-03T17:46:28Z</dcterms:modified>
  <cp:category/>
  <cp:version/>
  <cp:contentType/>
  <cp:contentStatus/>
</cp:coreProperties>
</file>